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WL_Illustration" sheetId="2" state="visible" r:id="rId2"/>
    <sheet xmlns:r="http://schemas.openxmlformats.org/officeDocument/2006/relationships" name="IUL_Illustration" sheetId="3" state="visible" r:id="rId3"/>
    <sheet xmlns:r="http://schemas.openxmlformats.org/officeDocument/2006/relationships" name="Ch1_Mortgage" sheetId="4" state="visible" r:id="rId4"/>
    <sheet xmlns:r="http://schemas.openxmlformats.org/officeDocument/2006/relationships" name="Ch8_TwoDesigns" sheetId="5" state="visible" r:id="rId5"/>
    <sheet xmlns:r="http://schemas.openxmlformats.org/officeDocument/2006/relationships" name="Ch10_Rental" sheetId="6" state="visible" r:id="rId6"/>
    <sheet xmlns:r="http://schemas.openxmlformats.org/officeDocument/2006/relationships" name="Ch11_Retirement" sheetId="7" state="visible" r:id="rId7"/>
    <sheet xmlns:r="http://schemas.openxmlformats.org/officeDocument/2006/relationships" name="Ch12_Business" sheetId="8" state="visible" r:id="rId8"/>
    <sheet xmlns:r="http://schemas.openxmlformats.org/officeDocument/2006/relationships" name="Ch13_Buckets" sheetId="9" state="visible" r:id="rId9"/>
    <sheet xmlns:r="http://schemas.openxmlformats.org/officeDocument/2006/relationships" name="Ch15_BuyTermInvest" sheetId="10" state="visible" r:id="rId10"/>
    <sheet xmlns:r="http://schemas.openxmlformats.org/officeDocument/2006/relationships" name="DynamicBanking" sheetId="11" state="visible" r:id="rId11"/>
  </sheets>
  <definedNames/>
  <calcPr calcId="124519" fullCalcOnLoad="1"/>
</workbook>
</file>

<file path=xl/styles.xml><?xml version="1.0" encoding="utf-8"?>
<styleSheet xmlns="http://schemas.openxmlformats.org/spreadsheetml/2006/main">
  <numFmts count="4">
    <numFmt numFmtId="164" formatCode="$#,##0;($#,##0);&quot;-&quot;"/>
    <numFmt numFmtId="165" formatCode="$#,##0.00"/>
    <numFmt numFmtId="166" formatCode="0.0%"/>
    <numFmt numFmtId="167" formatCode="0.0"/>
  </numFmts>
  <fonts count="8">
    <font>
      <name val="Calibri"/>
      <family val="2"/>
      <color theme="1"/>
      <sz val="11"/>
      <scheme val="minor"/>
    </font>
    <font>
      <name val="Arial"/>
      <b val="1"/>
      <color rgb="001B3A5C"/>
      <sz val="14"/>
    </font>
    <font>
      <name val="Arial"/>
      <sz val="10"/>
    </font>
    <font>
      <name val="Arial"/>
      <b val="1"/>
      <color rgb="001B3A5C"/>
      <sz val="11"/>
    </font>
    <font>
      <name val="Arial"/>
      <i val="1"/>
      <color rgb="00555B63"/>
      <sz val="9"/>
    </font>
    <font>
      <name val="Arial"/>
      <b val="1"/>
      <color rgb="00FFFFFF"/>
      <sz val="10"/>
    </font>
    <font>
      <name val="Arial"/>
      <b val="1"/>
      <sz val="10"/>
    </font>
    <font>
      <name val="Arial"/>
      <color rgb="000000CC"/>
      <sz val="10"/>
    </font>
  </fonts>
  <fills count="5">
    <fill>
      <patternFill/>
    </fill>
    <fill>
      <patternFill patternType="gray125"/>
    </fill>
    <fill>
      <patternFill patternType="solid">
        <fgColor rgb="001B3A5C"/>
      </patternFill>
    </fill>
    <fill>
      <patternFill patternType="solid">
        <fgColor rgb="00FAF6EF"/>
      </patternFill>
    </fill>
    <fill>
      <patternFill patternType="solid">
        <fgColor rgb="00FFE9C7"/>
      </patternFill>
    </fill>
  </fills>
  <borders count="2">
    <border>
      <left/>
      <right/>
      <top/>
      <bottom/>
      <diagonal/>
    </border>
    <border>
      <bottom style="thin">
        <color rgb="00D8D2C4"/>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0" applyAlignment="1" pivotButton="0" quotePrefix="0" xfId="0">
      <alignment horizontal="center" vertical="center" wrapText="1"/>
    </xf>
    <xf numFmtId="1" fontId="2" fillId="3" borderId="1" pivotButton="0" quotePrefix="0" xfId="0"/>
    <xf numFmtId="164" fontId="2" fillId="3" borderId="1" pivotButton="0" quotePrefix="0" xfId="0"/>
    <xf numFmtId="1" fontId="2" fillId="0" borderId="1" pivotButton="0" quotePrefix="0" xfId="0"/>
    <xf numFmtId="164" fontId="2" fillId="0" borderId="1" pivotButton="0" quotePrefix="0" xfId="0"/>
    <xf numFmtId="0" fontId="6" fillId="0" borderId="0" pivotButton="0" quotePrefix="0" xfId="0"/>
    <xf numFmtId="164" fontId="2" fillId="0" borderId="0" pivotButton="0" quotePrefix="0" xfId="0"/>
    <xf numFmtId="164" fontId="7" fillId="0" borderId="0" pivotButton="0" quotePrefix="0" xfId="0"/>
    <xf numFmtId="10" fontId="7" fillId="0" borderId="0" pivotButton="0" quotePrefix="0" xfId="0"/>
    <xf numFmtId="1" fontId="7" fillId="0" borderId="0" pivotButton="0" quotePrefix="0" xfId="0"/>
    <xf numFmtId="165" fontId="6" fillId="0" borderId="0" pivotButton="0" quotePrefix="0" xfId="0"/>
    <xf numFmtId="0" fontId="2" fillId="3" borderId="0" pivotButton="0" quotePrefix="0" xfId="0"/>
    <xf numFmtId="164" fontId="2" fillId="3" borderId="0" pivotButton="0" quotePrefix="0" xfId="0"/>
    <xf numFmtId="164" fontId="6" fillId="0" borderId="0" pivotButton="0" quotePrefix="0" xfId="0"/>
    <xf numFmtId="164" fontId="6" fillId="4" borderId="0" pivotButton="0" quotePrefix="0" xfId="0"/>
    <xf numFmtId="166" fontId="6" fillId="0" borderId="0" pivotButton="0" quotePrefix="0" xfId="0"/>
    <xf numFmtId="1" fontId="2" fillId="3" borderId="0" pivotButton="0" quotePrefix="0" xfId="0"/>
    <xf numFmtId="1" fontId="2" fillId="0" borderId="0" pivotButton="0" quotePrefix="0" xfId="0"/>
    <xf numFmtId="166" fontId="7" fillId="0" borderId="0" pivotButton="0" quotePrefix="0" xfId="0"/>
    <xf numFmtId="167" fontId="7" fillId="0" borderId="0" pivotButton="0" quotePrefix="0" xfId="0"/>
    <xf numFmtId="166" fontId="7" fillId="3" borderId="0" pivotButton="0" quotePrefix="0" xfId="0"/>
    <xf numFmtId="1" fontId="7" fillId="3" borderId="0" pivotButton="0" quotePrefix="0" xfId="0"/>
    <xf numFmtId="166" fontId="2" fillId="0" borderId="0" pivotButton="0" quotePrefix="0" xfId="0"/>
    <xf numFmtId="166" fontId="2" fillId="3" borderId="0" pivotButton="0" quotePrefix="0" xfId="0"/>
    <xf numFmtId="0" fontId="6" fillId="3" borderId="0" pivotButton="0" quotePrefix="0" xfId="0"/>
    <xf numFmtId="164" fontId="6" fillId="3" borderId="0" pivotButton="0" quotePrefix="0" xfId="0"/>
    <xf numFmtId="164" fontId="2" fillId="4" borderId="0" pivotButton="0" quotePrefix="0" xfId="0"/>
    <xf numFmtId="0" fontId="4"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34"/>
  <sheetViews>
    <sheetView workbookViewId="0">
      <selection activeCell="A1" sqref="A1"/>
    </sheetView>
  </sheetViews>
  <sheetFormatPr baseColWidth="8" defaultRowHeight="15"/>
  <cols>
    <col width="100" customWidth="1" min="1" max="1"/>
  </cols>
  <sheetData>
    <row r="1">
      <c r="A1" s="1" t="inlineStr">
        <is>
          <t>MONEY IN MOTION - Companion Workbook: Models You Can Check</t>
        </is>
      </c>
    </row>
    <row r="2">
      <c r="A2" s="2" t="inlineStr"/>
    </row>
    <row r="3">
      <c r="A3" s="2" t="inlineStr">
        <is>
          <t>This workbook backs the numbers in the companion supplement. Every case study in the</t>
        </is>
      </c>
    </row>
    <row r="4">
      <c r="A4" s="2" t="inlineStr">
        <is>
          <t>supplement is built here so you can trace it line by line.</t>
        </is>
      </c>
    </row>
    <row r="5">
      <c r="A5" s="2" t="inlineStr"/>
    </row>
    <row r="6">
      <c r="A6" s="3" t="inlineStr">
        <is>
          <t>HOW TO READ IT</t>
        </is>
      </c>
    </row>
    <row r="7">
      <c r="A7" s="2" t="inlineStr">
        <is>
          <t xml:space="preserve">  - BLUE cells are inputs and assumptions. Change one and the case recalculates.</t>
        </is>
      </c>
    </row>
    <row r="8">
      <c r="A8" s="2" t="inlineStr">
        <is>
          <t xml:space="preserve">  - Black cells are live formulas.</t>
        </is>
      </c>
    </row>
    <row r="9">
      <c r="A9" s="2" t="inlineStr">
        <is>
          <t xml:space="preserve">  - YELLOW cells are the headline result the supplement quotes.</t>
        </is>
      </c>
    </row>
    <row r="10">
      <c r="A10" s="2" t="inlineStr"/>
    </row>
    <row r="11">
      <c r="A11" s="3" t="inlineStr">
        <is>
          <t>WHAT IS REAL AND WHAT IS ASSUMED</t>
        </is>
      </c>
    </row>
    <row r="12">
      <c r="A12" s="2" t="inlineStr">
        <is>
          <t xml:space="preserve">  - The WL_Illustration and IUL_Illustration tabs are taken straight from real carrier</t>
        </is>
      </c>
    </row>
    <row r="13">
      <c r="A13" s="2" t="inlineStr">
        <is>
          <t xml:space="preserve">    illustrations (Penn Mutual whole life on a 40-year-old man; Allianz IUL on an</t>
        </is>
      </c>
    </row>
    <row r="14">
      <c r="A14" s="2" t="inlineStr">
        <is>
          <t xml:space="preserve">    18-year-old woman). Those cash-value and death-benefit figures are not formulas and</t>
        </is>
      </c>
    </row>
    <row r="15">
      <c r="A15" s="2" t="inlineStr">
        <is>
          <t xml:space="preserve">    are not invented. They are the same numbers printed in Chapters 6, 7, and 8.</t>
        </is>
      </c>
    </row>
    <row r="16">
      <c r="A16" s="2" t="inlineStr">
        <is>
          <t xml:space="preserve">  - The rental, business, retirement, tax-bucket, and buy-term cases need a few outside</t>
        </is>
      </c>
    </row>
    <row r="17">
      <c r="A17" s="2" t="inlineStr">
        <is>
          <t xml:space="preserve">    assumptions (rent, an assumed market return, a tax rate). Those are labeled as</t>
        </is>
      </c>
    </row>
    <row r="18">
      <c r="A18" s="2" t="inlineStr">
        <is>
          <t xml:space="preserve">    assumptions in blue. They are illustrative, not promises. Real returns vary.</t>
        </is>
      </c>
    </row>
    <row r="19">
      <c r="A19" s="2" t="inlineStr"/>
    </row>
    <row r="20">
      <c r="A20" s="2" t="inlineStr">
        <is>
          <t>A POLICY ILLUSTRATION IS NOT A GUARANTEE. The current-scale columns assume the carrier keeps</t>
        </is>
      </c>
    </row>
    <row r="21">
      <c r="A21" s="2" t="inlineStr">
        <is>
          <t>paying its current dividend or crediting rate. The guaranteed columns are what is contractually</t>
        </is>
      </c>
    </row>
    <row r="22">
      <c r="A22" s="2" t="inlineStr">
        <is>
          <t>promised. Both are shown so you can see the floor and the expectation.</t>
        </is>
      </c>
    </row>
    <row r="23">
      <c r="A23" s="2" t="inlineStr"/>
    </row>
    <row r="24">
      <c r="A24" s="3" t="inlineStr">
        <is>
          <t>TABS</t>
        </is>
      </c>
    </row>
    <row r="25">
      <c r="A25" s="2" t="inlineStr">
        <is>
          <t xml:space="preserve">  WL_Illustration     - the Chapter 6 whole life policy, 20 years</t>
        </is>
      </c>
    </row>
    <row r="26">
      <c r="A26" s="2" t="inlineStr">
        <is>
          <t xml:space="preserve">  IUL_Illustration    - the Chapter 7 indexed universal life policy, 20 years + later life</t>
        </is>
      </c>
    </row>
    <row r="27">
      <c r="A27" s="2" t="inlineStr">
        <is>
          <t xml:space="preserve">  Ch1_Mortgage        - the true cost of a financed home</t>
        </is>
      </c>
    </row>
    <row r="28">
      <c r="A28" s="2" t="inlineStr">
        <is>
          <t xml:space="preserve">  Ch8_TwoDesigns      - same product, default design vs. a design built for cash value</t>
        </is>
      </c>
    </row>
    <row r="29">
      <c r="A29" s="2" t="inlineStr">
        <is>
          <t xml:space="preserve">  Ch10_Rental         - the policy-loan rental case (the "Jones" example from Chapter 10)</t>
        </is>
      </c>
    </row>
    <row r="30">
      <c r="A30" s="2" t="inlineStr">
        <is>
          <t xml:space="preserve">  Ch11_Retirement     - the volatility buffer, and tax-free income off a real policy</t>
        </is>
      </c>
    </row>
    <row r="31">
      <c r="A31" s="2" t="inlineStr">
        <is>
          <t xml:space="preserve">  Ch12_Business       - a business using its policy as its own bank</t>
        </is>
      </c>
    </row>
    <row r="32">
      <c r="A32" s="2" t="inlineStr">
        <is>
          <t xml:space="preserve">  Ch13_Buckets        - taxable vs. tax-deferred vs. tax-free, same dollars</t>
        </is>
      </c>
    </row>
    <row r="33">
      <c r="A33" s="2" t="inlineStr">
        <is>
          <t xml:space="preserve">  Ch15_BuyTermInvest  - buy term and invest the difference, run honestly</t>
        </is>
      </c>
    </row>
    <row r="34">
      <c r="A34" s="2" t="inlineStr">
        <is>
          <t xml:space="preserve">  DynamicBanking      - the Chapter 3 household results (full engine in Chapter_03_Case_Study_Models.xlsx, on the same book-resources page)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40" customWidth="1" min="1" max="1"/>
    <col width="34" customWidth="1" min="2" max="2"/>
    <col width="28" customWidth="1" min="3" max="3"/>
  </cols>
  <sheetData>
    <row r="1">
      <c r="A1" s="1" t="inlineStr">
        <is>
          <t>Buy Term and Invest the Difference, Run Honestly (Chapter 15)</t>
        </is>
      </c>
    </row>
    <row r="2">
      <c r="A2" s="4" t="inlineStr">
        <is>
          <t>The same 40-year-old man from Chapter 6. One path buys whole life. The other buys cheap term and invests the premium difference. Blue = assumptions. This does not declare a winner; it shows the trade honestly.</t>
        </is>
      </c>
    </row>
    <row r="4">
      <c r="A4" s="2" t="inlineStr">
        <is>
          <t>Whole life premium per year</t>
        </is>
      </c>
      <c r="B4" s="12" t="n">
        <v>24810</v>
      </c>
    </row>
    <row r="5">
      <c r="A5" s="2" t="inlineStr">
        <is>
          <t>20-year term premium per year (same death benefit ballpark)</t>
        </is>
      </c>
      <c r="B5" s="12" t="n">
        <v>600</v>
      </c>
    </row>
    <row r="6">
      <c r="A6" s="2" t="inlineStr">
        <is>
          <t>Assumed market return on the invested difference</t>
        </is>
      </c>
      <c r="B6" s="23" t="n">
        <v>0.07000000000000001</v>
      </c>
    </row>
    <row r="7">
      <c r="A7" s="2" t="inlineStr">
        <is>
          <t>Years</t>
        </is>
      </c>
      <c r="B7" s="14" t="n">
        <v>20</v>
      </c>
    </row>
    <row r="8">
      <c r="A8" s="2" t="inlineStr">
        <is>
          <t>Tax on investment gains at the end</t>
        </is>
      </c>
      <c r="B8" s="23" t="n">
        <v>0.15</v>
      </c>
    </row>
    <row r="10">
      <c r="A10" s="5" t="inlineStr"/>
      <c r="B10" s="5" t="inlineStr">
        <is>
          <t>Buy term + invest difference</t>
        </is>
      </c>
      <c r="C10" s="5" t="inlineStr">
        <is>
          <t>Whole life</t>
        </is>
      </c>
    </row>
    <row r="11">
      <c r="A11" s="2" t="inlineStr">
        <is>
          <t>Annual amount invested / paid</t>
        </is>
      </c>
      <c r="B11" s="17">
        <f>$B$4-$B$5</f>
        <v/>
      </c>
      <c r="C11" s="17">
        <f>$B$4</f>
        <v/>
      </c>
    </row>
    <row r="12">
      <c r="A12" s="2" t="inlineStr">
        <is>
          <t>Pre-tax value at year 20</t>
        </is>
      </c>
      <c r="B12" s="11">
        <f>FV($B$6,$B$7,-($B$4-$B$5),0,0)</f>
        <v/>
      </c>
      <c r="C12" s="11" t="inlineStr">
        <is>
          <t>839760</t>
        </is>
      </c>
    </row>
    <row r="13">
      <c r="A13" s="2" t="inlineStr">
        <is>
          <t>Less tax on gains (term path)</t>
        </is>
      </c>
      <c r="B13" s="17">
        <f>-(FV($B$6,$B$7,-($B$4-$B$5),0,0)-($B$4-$B$5)*$B$7)*$B$8</f>
        <v/>
      </c>
      <c r="C13" s="17" t="inlineStr">
        <is>
          <t>0</t>
        </is>
      </c>
    </row>
    <row r="14">
      <c r="A14" s="10" t="inlineStr">
        <is>
          <t>Net value at year 20</t>
        </is>
      </c>
      <c r="B14" s="19">
        <f>FV($B$6,$B$7,-($B$4-$B$5),0,0)-(FV($B$6,$B$7,-($B$4-$B$5),0,0)-($B$4-$B$5)*$B$7)*$B$8</f>
        <v/>
      </c>
      <c r="C14" s="19" t="inlineStr">
        <is>
          <t>839760</t>
        </is>
      </c>
    </row>
    <row r="15">
      <c r="A15" s="2" t="inlineStr">
        <is>
          <t>Death benefit in force the whole time</t>
        </is>
      </c>
      <c r="B15" s="16" t="inlineStr">
        <is>
          <t>term: $500,000 for 20 yrs, then $0</t>
        </is>
      </c>
      <c r="C15" s="16" t="inlineStr">
        <is>
          <t>$1.8M+ and rising, for life</t>
        </is>
      </c>
    </row>
    <row r="16">
      <c r="A16" s="2" t="inlineStr">
        <is>
          <t>Forced discipline / guarantees</t>
        </is>
      </c>
      <c r="B16" s="2" t="inlineStr">
        <is>
          <t>none - you must invest every year</t>
        </is>
      </c>
      <c r="C16" s="2" t="inlineStr">
        <is>
          <t>built in</t>
        </is>
      </c>
    </row>
    <row r="18">
      <c r="A18" s="4" t="inlineStr">
        <is>
          <t>The term path can match or beat whole life on raw dollars IF you invest the difference every single year, actually earn the assumed return, and never sell low.</t>
        </is>
      </c>
    </row>
    <row r="19">
      <c r="A19" s="4" t="inlineStr">
        <is>
          <t>James's point in Chapter 15: investing is hard, the emotions are real, and most people do not stay the course. Whole life delivers through discipline, guarantees, tax treatment, and a death benefit that never expires.</t>
        </is>
      </c>
    </row>
    <row r="20">
      <c r="A20" s="4" t="inlineStr">
        <is>
          <t>The real answer is rarely term OR whole life. It is term AND a properly designed cash value policy.</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42" customWidth="1" min="1" max="1"/>
    <col width="16" customWidth="1" min="2" max="2"/>
    <col width="18" customWidth="1" min="3" max="3"/>
    <col width="16" customWidth="1" min="4" max="4"/>
    <col width="22" customWidth="1" min="5" max="5"/>
  </cols>
  <sheetData>
    <row r="1">
      <c r="A1" s="1" t="inlineStr">
        <is>
          <t>Dynamic Banking - Household Results (Chapter 3)</t>
        </is>
      </c>
    </row>
    <row r="2">
      <c r="A2" s="4" t="inlineStr">
        <is>
          <t>24-month interest paid under three paths. Full live engine is in Chapter_03_Case_Study_Models.xlsx. These are the published results.</t>
        </is>
      </c>
    </row>
    <row r="4">
      <c r="A4" s="5" t="inlineStr">
        <is>
          <t>Household</t>
        </is>
      </c>
      <c r="B4" s="5" t="inlineStr">
        <is>
          <t>Minimums only</t>
        </is>
      </c>
      <c r="C4" s="5" t="inlineStr">
        <is>
          <t>Every spare dollar</t>
        </is>
      </c>
      <c r="D4" s="5" t="inlineStr">
        <is>
          <t>Dynamic Banking</t>
        </is>
      </c>
      <c r="E4" s="5" t="inlineStr">
        <is>
          <t>Liquidity kept available</t>
        </is>
      </c>
    </row>
    <row r="5">
      <c r="A5" s="16" t="inlineStr">
        <is>
          <t>Dave &amp; Emily (single income, $28K cards)</t>
        </is>
      </c>
      <c r="B5" s="17" t="n">
        <v>10400</v>
      </c>
      <c r="C5" s="17" t="n">
        <v>8300</v>
      </c>
      <c r="D5" s="31" t="n">
        <v>1800</v>
      </c>
      <c r="E5" s="17" t="n">
        <v>23000</v>
      </c>
    </row>
    <row r="6">
      <c r="A6" s="2" t="inlineStr">
        <is>
          <t>Raj &amp; Priya (two incomes, $54K stack)</t>
        </is>
      </c>
      <c r="B6" s="11" t="n">
        <v>10900</v>
      </c>
      <c r="C6" s="11" t="n">
        <v>5400</v>
      </c>
      <c r="D6" s="31" t="n">
        <v>2800</v>
      </c>
      <c r="E6" s="11" t="n">
        <v>50000</v>
      </c>
    </row>
    <row r="7">
      <c r="A7" s="16" t="inlineStr">
        <is>
          <t>Marcus (lumpy income, $40K consumer debt)</t>
        </is>
      </c>
      <c r="B7" s="17" t="n">
        <v>7700</v>
      </c>
      <c r="C7" s="17" t="n">
        <v>3500</v>
      </c>
      <c r="D7" s="31" t="n">
        <v>2000</v>
      </c>
      <c r="E7" s="32" t="inlineStr">
        <is>
          <t>line stayed open</t>
        </is>
      </c>
    </row>
    <row r="8">
      <c r="A8" s="2" t="inlineStr">
        <is>
          <t>Nicole (renter, six cards, $6K LOC)</t>
        </is>
      </c>
      <c r="B8" s="11" t="n">
        <v>6200</v>
      </c>
      <c r="C8" s="11" t="n">
        <v>4800</v>
      </c>
      <c r="D8" s="31" t="n">
        <v>3000</v>
      </c>
      <c r="E8" s="4" t="inlineStr">
        <is>
          <t>line stayed open</t>
        </is>
      </c>
    </row>
    <row r="10">
      <c r="A10" s="4" t="inlineStr">
        <is>
          <t>Across all four households, Dynamic Banking beat even the disciplined "every spare dollar" path by about $12,000 in interest over 24 months - while keeping the money reachable the whole time.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12" customWidth="1" min="1" max="1"/>
    <col width="20" customWidth="1" min="2" max="2"/>
    <col width="22" customWidth="1" min="3" max="3"/>
    <col width="24" customWidth="1" min="4" max="4"/>
    <col width="26" customWidth="1" min="5" max="5"/>
  </cols>
  <sheetData>
    <row r="1">
      <c r="A1" s="1" t="inlineStr">
        <is>
          <t>Whole Life - The Engine (Chapter 6)</t>
        </is>
      </c>
    </row>
    <row r="2">
      <c r="A2" s="4" t="inlineStr">
        <is>
          <t>Real Penn Mutual illustration. 40-year-old man, Preferred Plus, $24,810/yr level premium, blended base + paid-up additions, $500,000 initial death benefit. Figures are from the carrier illustration, not formulas.</t>
        </is>
      </c>
    </row>
    <row r="4">
      <c r="A4" s="5" t="inlineStr">
        <is>
          <t>Policy Year</t>
        </is>
      </c>
      <c r="B4" s="5" t="inlineStr">
        <is>
          <t>Cumulative Premium</t>
        </is>
      </c>
      <c r="C4" s="5" t="inlineStr">
        <is>
          <t>Guaranteed Cash Value</t>
        </is>
      </c>
      <c r="D4" s="5" t="inlineStr">
        <is>
          <t>Current-Scale Cash Value</t>
        </is>
      </c>
      <c r="E4" s="5" t="inlineStr">
        <is>
          <t>Current-Scale Death Benefit</t>
        </is>
      </c>
    </row>
    <row r="5">
      <c r="A5" s="6" t="n">
        <v>1</v>
      </c>
      <c r="B5" s="7" t="n">
        <v>24810</v>
      </c>
      <c r="C5" s="7" t="n">
        <v>20058</v>
      </c>
      <c r="D5" s="7" t="n">
        <v>20567</v>
      </c>
      <c r="E5" s="7" t="n">
        <v>557780</v>
      </c>
    </row>
    <row r="6">
      <c r="A6" s="8" t="n">
        <v>5</v>
      </c>
      <c r="B6" s="9" t="n">
        <v>124051</v>
      </c>
      <c r="C6" s="9" t="n">
        <v>113579</v>
      </c>
      <c r="D6" s="9" t="n">
        <v>125739</v>
      </c>
      <c r="E6" s="9" t="n">
        <v>800593</v>
      </c>
    </row>
    <row r="7">
      <c r="A7" s="6" t="n">
        <v>10</v>
      </c>
      <c r="B7" s="7" t="n">
        <v>248101</v>
      </c>
      <c r="C7" s="7" t="n">
        <v>248250</v>
      </c>
      <c r="D7" s="7" t="n">
        <v>299901</v>
      </c>
      <c r="E7" s="7" t="n">
        <v>1114827</v>
      </c>
    </row>
    <row r="8">
      <c r="A8" s="8" t="n">
        <v>15</v>
      </c>
      <c r="B8" s="9" t="n">
        <v>372152</v>
      </c>
      <c r="C8" s="9" t="n">
        <v>400386</v>
      </c>
      <c r="D8" s="9" t="n">
        <v>533876</v>
      </c>
      <c r="E8" s="9" t="n">
        <v>1457177</v>
      </c>
    </row>
    <row r="9">
      <c r="A9" s="6" t="n">
        <v>20</v>
      </c>
      <c r="B9" s="7" t="n">
        <v>496202</v>
      </c>
      <c r="C9" s="7" t="n">
        <v>567434</v>
      </c>
      <c r="D9" s="7" t="n">
        <v>839760</v>
      </c>
      <c r="E9" s="7" t="n">
        <v>1832717</v>
      </c>
    </row>
    <row r="11">
      <c r="A11" s="4" t="inlineStr">
        <is>
          <t>Crossover (current scale): cash value passes total premiums paid in Year 5.</t>
        </is>
      </c>
    </row>
    <row r="12">
      <c r="A12" s="4" t="inlineStr">
        <is>
          <t>Crossover (guaranteed): even the guaranteed column passes premiums by Year 10.</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30" customWidth="1" min="1" max="1"/>
    <col width="20" customWidth="1" min="2" max="2"/>
    <col width="22" customWidth="1" min="3" max="3"/>
    <col width="24" customWidth="1" min="4" max="4"/>
    <col width="24" customWidth="1" min="5" max="5"/>
  </cols>
  <sheetData>
    <row r="1">
      <c r="A1" s="1" t="inlineStr">
        <is>
          <t>Indexed Universal Life - The Alternative (Chapter 7)</t>
        </is>
      </c>
    </row>
    <row r="2">
      <c r="A2" s="4" t="inlineStr">
        <is>
          <t>Real Allianz Life Pro+ Advantage illustration. 18-year-old woman, Preferred Plus, $11,320.98/yr planned premium, $400,000 initial death benefit, 6% illustrated rate. Figures are from the carrier illustration, not formulas.</t>
        </is>
      </c>
    </row>
    <row r="4">
      <c r="A4" s="5" t="inlineStr">
        <is>
          <t>Policy Year</t>
        </is>
      </c>
      <c r="B4" s="5" t="inlineStr">
        <is>
          <t>Cumulative Premium</t>
        </is>
      </c>
      <c r="C4" s="5" t="inlineStr">
        <is>
          <t>Guaranteed Cash Value</t>
        </is>
      </c>
      <c r="D4" s="5" t="inlineStr">
        <is>
          <t>Current-Scenario Cash Value</t>
        </is>
      </c>
      <c r="E4" s="5" t="inlineStr">
        <is>
          <t>Current Death Benefit</t>
        </is>
      </c>
    </row>
    <row r="5">
      <c r="A5" s="6" t="n">
        <v>1</v>
      </c>
      <c r="B5" s="7" t="n">
        <v>11321</v>
      </c>
      <c r="C5" s="7" t="n">
        <v>7049</v>
      </c>
      <c r="D5" s="7" t="n">
        <v>7738</v>
      </c>
      <c r="E5" s="7" t="n">
        <v>410555</v>
      </c>
    </row>
    <row r="6">
      <c r="A6" s="8" t="n">
        <v>5</v>
      </c>
      <c r="B6" s="9" t="n">
        <v>56605</v>
      </c>
      <c r="C6" s="9" t="n">
        <v>46789</v>
      </c>
      <c r="D6" s="9" t="n">
        <v>57746</v>
      </c>
      <c r="E6" s="9" t="n">
        <v>460396</v>
      </c>
    </row>
    <row r="7">
      <c r="A7" s="6" t="n">
        <v>10</v>
      </c>
      <c r="B7" s="7" t="n">
        <v>113210</v>
      </c>
      <c r="C7" s="7" t="n">
        <v>97702</v>
      </c>
      <c r="D7" s="7" t="n">
        <v>143196</v>
      </c>
      <c r="E7" s="7" t="n">
        <v>544479</v>
      </c>
    </row>
    <row r="8">
      <c r="A8" s="8" t="n">
        <v>15</v>
      </c>
      <c r="B8" s="9" t="n">
        <v>169815</v>
      </c>
      <c r="C8" s="9" t="n">
        <v>148579</v>
      </c>
      <c r="D8" s="9" t="n">
        <v>263196</v>
      </c>
      <c r="E8" s="9" t="n">
        <v>663196</v>
      </c>
    </row>
    <row r="9">
      <c r="A9" s="6" t="n">
        <v>20</v>
      </c>
      <c r="B9" s="7" t="n">
        <v>226420</v>
      </c>
      <c r="C9" s="7" t="n">
        <v>197856</v>
      </c>
      <c r="D9" s="7" t="n">
        <v>429083</v>
      </c>
      <c r="E9" s="7" t="n">
        <v>1072707</v>
      </c>
    </row>
    <row r="11">
      <c r="A11" s="10" t="inlineStr">
        <is>
          <t>Later-life (same illustration, current scale):</t>
        </is>
      </c>
    </row>
    <row r="12">
      <c r="A12" s="2" t="inlineStr">
        <is>
          <t>Cash value at age 65 (about)</t>
        </is>
      </c>
      <c r="D12" s="11" t="n">
        <v>3250000</v>
      </c>
    </row>
    <row r="13">
      <c r="A13" s="2" t="inlineStr">
        <is>
          <t>Death benefit at age 65 (about)</t>
        </is>
      </c>
      <c r="D13" s="11" t="n">
        <v>3970000</v>
      </c>
    </row>
    <row r="14">
      <c r="A14" s="2" t="inlineStr">
        <is>
          <t>Cash value at age 70 (about)</t>
        </is>
      </c>
      <c r="D14" s="11" t="n">
        <v>4500000</v>
      </c>
    </row>
    <row r="16">
      <c r="A16" s="4" t="inlineStr">
        <is>
          <t>Note: the guaranteed column stays under premiums for 20+ years. The floor protects against market loss; it does not promise growth. Growth is the current-scale expectation.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6"/>
  <sheetViews>
    <sheetView workbookViewId="0">
      <selection activeCell="A1" sqref="A1"/>
    </sheetView>
  </sheetViews>
  <sheetFormatPr baseColWidth="8" defaultRowHeight="15"/>
  <cols>
    <col width="42" customWidth="1" min="1" max="1"/>
    <col width="22" customWidth="1" min="2" max="2"/>
    <col width="22" customWidth="1" min="3" max="3"/>
    <col width="20" customWidth="1" min="4" max="4"/>
    <col width="20" customWidth="1" min="5" max="5"/>
  </cols>
  <sheetData>
    <row r="1">
      <c r="A1" s="1" t="inlineStr">
        <is>
          <t>The True Cost of a Financed Home (Chapter 1)</t>
        </is>
      </c>
    </row>
    <row r="2">
      <c r="A2" s="4" t="inlineStr">
        <is>
          <t>A standard mortgage, paid as scheduled. Blue cells are inputs.</t>
        </is>
      </c>
    </row>
    <row r="4">
      <c r="A4" s="2" t="inlineStr">
        <is>
          <t>Loan amount</t>
        </is>
      </c>
      <c r="B4" s="12" t="n">
        <v>300000</v>
      </c>
    </row>
    <row r="5">
      <c r="A5" s="2" t="inlineStr">
        <is>
          <t>Annual interest rate</t>
        </is>
      </c>
      <c r="B5" s="13" t="n">
        <v>0.065</v>
      </c>
    </row>
    <row r="6">
      <c r="A6" s="2" t="inlineStr">
        <is>
          <t>Term (years)</t>
        </is>
      </c>
      <c r="B6" s="14" t="n">
        <v>30</v>
      </c>
    </row>
    <row r="7">
      <c r="A7" s="2" t="inlineStr">
        <is>
          <t>Payments per year</t>
        </is>
      </c>
      <c r="B7" s="14" t="n">
        <v>12</v>
      </c>
    </row>
    <row r="8">
      <c r="A8" s="10" t="inlineStr">
        <is>
          <t>Monthly payment</t>
        </is>
      </c>
      <c r="B8" s="15">
        <f>-PMT($B$5/$B$7,$B$6*$B$7,$B$4)</f>
        <v/>
      </c>
    </row>
    <row r="10">
      <c r="A10" s="3" t="inlineStr">
        <is>
          <t>Year-by-year (interest vs principal):</t>
        </is>
      </c>
    </row>
    <row r="11">
      <c r="A11" s="5" t="inlineStr">
        <is>
          <t>Year</t>
        </is>
      </c>
      <c r="B11" s="5" t="inlineStr">
        <is>
          <t>Interest paid that year</t>
        </is>
      </c>
      <c r="C11" s="5" t="inlineStr">
        <is>
          <t>Principal paid that year</t>
        </is>
      </c>
      <c r="D11" s="5" t="inlineStr">
        <is>
          <t>Cumulative interest</t>
        </is>
      </c>
      <c r="E11" s="5" t="inlineStr">
        <is>
          <t>Balance remaining</t>
        </is>
      </c>
    </row>
    <row r="12">
      <c r="A12" s="16" t="n">
        <v>1</v>
      </c>
      <c r="B12" s="17">
        <f>-CUMIPMT($B$5/$B$7,$B$6*$B$7,$B$4,((1-1)*$B$7+1),(1*$B$7),0)</f>
        <v/>
      </c>
      <c r="C12" s="17">
        <f>-CUMPRINC($B$5/$B$7,$B$6*$B$7,$B$4,((1-1)*$B$7+1),(1*$B$7),0)</f>
        <v/>
      </c>
      <c r="D12" s="17">
        <f>-CUMIPMT($B$5/$B$7,$B$6*$B$7,$B$4,1,(1*$B$7),0)</f>
        <v/>
      </c>
      <c r="E12" s="17">
        <f>$B$4-(-CUMPRINC($B$5/$B$7,$B$6*$B$7,$B$4,1,(1*$B$7),0))</f>
        <v/>
      </c>
    </row>
    <row r="13">
      <c r="A13" s="2" t="n">
        <v>2</v>
      </c>
      <c r="B13" s="11">
        <f>-CUMIPMT($B$5/$B$7,$B$6*$B$7,$B$4,((2-1)*$B$7+1),(2*$B$7),0)</f>
        <v/>
      </c>
      <c r="C13" s="11">
        <f>-CUMPRINC($B$5/$B$7,$B$6*$B$7,$B$4,((2-1)*$B$7+1),(2*$B$7),0)</f>
        <v/>
      </c>
      <c r="D13" s="11">
        <f>-CUMIPMT($B$5/$B$7,$B$6*$B$7,$B$4,1,(2*$B$7),0)</f>
        <v/>
      </c>
      <c r="E13" s="11">
        <f>$B$4-(-CUMPRINC($B$5/$B$7,$B$6*$B$7,$B$4,1,(2*$B$7),0))</f>
        <v/>
      </c>
    </row>
    <row r="14">
      <c r="A14" s="16" t="n">
        <v>3</v>
      </c>
      <c r="B14" s="17">
        <f>-CUMIPMT($B$5/$B$7,$B$6*$B$7,$B$4,((3-1)*$B$7+1),(3*$B$7),0)</f>
        <v/>
      </c>
      <c r="C14" s="17">
        <f>-CUMPRINC($B$5/$B$7,$B$6*$B$7,$B$4,((3-1)*$B$7+1),(3*$B$7),0)</f>
        <v/>
      </c>
      <c r="D14" s="17">
        <f>-CUMIPMT($B$5/$B$7,$B$6*$B$7,$B$4,1,(3*$B$7),0)</f>
        <v/>
      </c>
      <c r="E14" s="17">
        <f>$B$4-(-CUMPRINC($B$5/$B$7,$B$6*$B$7,$B$4,1,(3*$B$7),0))</f>
        <v/>
      </c>
    </row>
    <row r="15">
      <c r="A15" s="2" t="n">
        <v>4</v>
      </c>
      <c r="B15" s="11">
        <f>-CUMIPMT($B$5/$B$7,$B$6*$B$7,$B$4,((4-1)*$B$7+1),(4*$B$7),0)</f>
        <v/>
      </c>
      <c r="C15" s="11">
        <f>-CUMPRINC($B$5/$B$7,$B$6*$B$7,$B$4,((4-1)*$B$7+1),(4*$B$7),0)</f>
        <v/>
      </c>
      <c r="D15" s="11">
        <f>-CUMIPMT($B$5/$B$7,$B$6*$B$7,$B$4,1,(4*$B$7),0)</f>
        <v/>
      </c>
      <c r="E15" s="11">
        <f>$B$4-(-CUMPRINC($B$5/$B$7,$B$6*$B$7,$B$4,1,(4*$B$7),0))</f>
        <v/>
      </c>
    </row>
    <row r="16">
      <c r="A16" s="16" t="n">
        <v>5</v>
      </c>
      <c r="B16" s="17">
        <f>-CUMIPMT($B$5/$B$7,$B$6*$B$7,$B$4,((5-1)*$B$7+1),(5*$B$7),0)</f>
        <v/>
      </c>
      <c r="C16" s="17">
        <f>-CUMPRINC($B$5/$B$7,$B$6*$B$7,$B$4,((5-1)*$B$7+1),(5*$B$7),0)</f>
        <v/>
      </c>
      <c r="D16" s="17">
        <f>-CUMIPMT($B$5/$B$7,$B$6*$B$7,$B$4,1,(5*$B$7),0)</f>
        <v/>
      </c>
      <c r="E16" s="17">
        <f>$B$4-(-CUMPRINC($B$5/$B$7,$B$6*$B$7,$B$4,1,(5*$B$7),0))</f>
        <v/>
      </c>
    </row>
    <row r="17">
      <c r="A17" s="2" t="n">
        <v>6</v>
      </c>
      <c r="B17" s="11">
        <f>-CUMIPMT($B$5/$B$7,$B$6*$B$7,$B$4,((6-1)*$B$7+1),(6*$B$7),0)</f>
        <v/>
      </c>
      <c r="C17" s="11">
        <f>-CUMPRINC($B$5/$B$7,$B$6*$B$7,$B$4,((6-1)*$B$7+1),(6*$B$7),0)</f>
        <v/>
      </c>
      <c r="D17" s="11">
        <f>-CUMIPMT($B$5/$B$7,$B$6*$B$7,$B$4,1,(6*$B$7),0)</f>
        <v/>
      </c>
      <c r="E17" s="11">
        <f>$B$4-(-CUMPRINC($B$5/$B$7,$B$6*$B$7,$B$4,1,(6*$B$7),0))</f>
        <v/>
      </c>
    </row>
    <row r="18">
      <c r="A18" s="16" t="n">
        <v>7</v>
      </c>
      <c r="B18" s="17">
        <f>-CUMIPMT($B$5/$B$7,$B$6*$B$7,$B$4,((7-1)*$B$7+1),(7*$B$7),0)</f>
        <v/>
      </c>
      <c r="C18" s="17">
        <f>-CUMPRINC($B$5/$B$7,$B$6*$B$7,$B$4,((7-1)*$B$7+1),(7*$B$7),0)</f>
        <v/>
      </c>
      <c r="D18" s="17">
        <f>-CUMIPMT($B$5/$B$7,$B$6*$B$7,$B$4,1,(7*$B$7),0)</f>
        <v/>
      </c>
      <c r="E18" s="17">
        <f>$B$4-(-CUMPRINC($B$5/$B$7,$B$6*$B$7,$B$4,1,(7*$B$7),0))</f>
        <v/>
      </c>
    </row>
    <row r="19">
      <c r="A19" s="2" t="n">
        <v>8</v>
      </c>
      <c r="B19" s="11">
        <f>-CUMIPMT($B$5/$B$7,$B$6*$B$7,$B$4,((8-1)*$B$7+1),(8*$B$7),0)</f>
        <v/>
      </c>
      <c r="C19" s="11">
        <f>-CUMPRINC($B$5/$B$7,$B$6*$B$7,$B$4,((8-1)*$B$7+1),(8*$B$7),0)</f>
        <v/>
      </c>
      <c r="D19" s="11">
        <f>-CUMIPMT($B$5/$B$7,$B$6*$B$7,$B$4,1,(8*$B$7),0)</f>
        <v/>
      </c>
      <c r="E19" s="11">
        <f>$B$4-(-CUMPRINC($B$5/$B$7,$B$6*$B$7,$B$4,1,(8*$B$7),0))</f>
        <v/>
      </c>
    </row>
    <row r="20">
      <c r="A20" s="16" t="n">
        <v>9</v>
      </c>
      <c r="B20" s="17">
        <f>-CUMIPMT($B$5/$B$7,$B$6*$B$7,$B$4,((9-1)*$B$7+1),(9*$B$7),0)</f>
        <v/>
      </c>
      <c r="C20" s="17">
        <f>-CUMPRINC($B$5/$B$7,$B$6*$B$7,$B$4,((9-1)*$B$7+1),(9*$B$7),0)</f>
        <v/>
      </c>
      <c r="D20" s="17">
        <f>-CUMIPMT($B$5/$B$7,$B$6*$B$7,$B$4,1,(9*$B$7),0)</f>
        <v/>
      </c>
      <c r="E20" s="17">
        <f>$B$4-(-CUMPRINC($B$5/$B$7,$B$6*$B$7,$B$4,1,(9*$B$7),0))</f>
        <v/>
      </c>
    </row>
    <row r="21">
      <c r="A21" s="2" t="n">
        <v>10</v>
      </c>
      <c r="B21" s="11">
        <f>-CUMIPMT($B$5/$B$7,$B$6*$B$7,$B$4,((10-1)*$B$7+1),(10*$B$7),0)</f>
        <v/>
      </c>
      <c r="C21" s="11">
        <f>-CUMPRINC($B$5/$B$7,$B$6*$B$7,$B$4,((10-1)*$B$7+1),(10*$B$7),0)</f>
        <v/>
      </c>
      <c r="D21" s="11">
        <f>-CUMIPMT($B$5/$B$7,$B$6*$B$7,$B$4,1,(10*$B$7),0)</f>
        <v/>
      </c>
      <c r="E21" s="11">
        <f>$B$4-(-CUMPRINC($B$5/$B$7,$B$6*$B$7,$B$4,1,(10*$B$7),0))</f>
        <v/>
      </c>
    </row>
    <row r="22">
      <c r="A22" s="16" t="n">
        <v>11</v>
      </c>
      <c r="B22" s="17">
        <f>-CUMIPMT($B$5/$B$7,$B$6*$B$7,$B$4,((11-1)*$B$7+1),(11*$B$7),0)</f>
        <v/>
      </c>
      <c r="C22" s="17">
        <f>-CUMPRINC($B$5/$B$7,$B$6*$B$7,$B$4,((11-1)*$B$7+1),(11*$B$7),0)</f>
        <v/>
      </c>
      <c r="D22" s="17">
        <f>-CUMIPMT($B$5/$B$7,$B$6*$B$7,$B$4,1,(11*$B$7),0)</f>
        <v/>
      </c>
      <c r="E22" s="17">
        <f>$B$4-(-CUMPRINC($B$5/$B$7,$B$6*$B$7,$B$4,1,(11*$B$7),0))</f>
        <v/>
      </c>
    </row>
    <row r="23">
      <c r="A23" s="2" t="n">
        <v>12</v>
      </c>
      <c r="B23" s="11">
        <f>-CUMIPMT($B$5/$B$7,$B$6*$B$7,$B$4,((12-1)*$B$7+1),(12*$B$7),0)</f>
        <v/>
      </c>
      <c r="C23" s="11">
        <f>-CUMPRINC($B$5/$B$7,$B$6*$B$7,$B$4,((12-1)*$B$7+1),(12*$B$7),0)</f>
        <v/>
      </c>
      <c r="D23" s="11">
        <f>-CUMIPMT($B$5/$B$7,$B$6*$B$7,$B$4,1,(12*$B$7),0)</f>
        <v/>
      </c>
      <c r="E23" s="11">
        <f>$B$4-(-CUMPRINC($B$5/$B$7,$B$6*$B$7,$B$4,1,(12*$B$7),0))</f>
        <v/>
      </c>
    </row>
    <row r="24">
      <c r="A24" s="16" t="n">
        <v>13</v>
      </c>
      <c r="B24" s="17">
        <f>-CUMIPMT($B$5/$B$7,$B$6*$B$7,$B$4,((13-1)*$B$7+1),(13*$B$7),0)</f>
        <v/>
      </c>
      <c r="C24" s="17">
        <f>-CUMPRINC($B$5/$B$7,$B$6*$B$7,$B$4,((13-1)*$B$7+1),(13*$B$7),0)</f>
        <v/>
      </c>
      <c r="D24" s="17">
        <f>-CUMIPMT($B$5/$B$7,$B$6*$B$7,$B$4,1,(13*$B$7),0)</f>
        <v/>
      </c>
      <c r="E24" s="17">
        <f>$B$4-(-CUMPRINC($B$5/$B$7,$B$6*$B$7,$B$4,1,(13*$B$7),0))</f>
        <v/>
      </c>
    </row>
    <row r="25">
      <c r="A25" s="2" t="n">
        <v>14</v>
      </c>
      <c r="B25" s="11">
        <f>-CUMIPMT($B$5/$B$7,$B$6*$B$7,$B$4,((14-1)*$B$7+1),(14*$B$7),0)</f>
        <v/>
      </c>
      <c r="C25" s="11">
        <f>-CUMPRINC($B$5/$B$7,$B$6*$B$7,$B$4,((14-1)*$B$7+1),(14*$B$7),0)</f>
        <v/>
      </c>
      <c r="D25" s="11">
        <f>-CUMIPMT($B$5/$B$7,$B$6*$B$7,$B$4,1,(14*$B$7),0)</f>
        <v/>
      </c>
      <c r="E25" s="11">
        <f>$B$4-(-CUMPRINC($B$5/$B$7,$B$6*$B$7,$B$4,1,(14*$B$7),0))</f>
        <v/>
      </c>
    </row>
    <row r="26">
      <c r="A26" s="16" t="n">
        <v>15</v>
      </c>
      <c r="B26" s="17">
        <f>-CUMIPMT($B$5/$B$7,$B$6*$B$7,$B$4,((15-1)*$B$7+1),(15*$B$7),0)</f>
        <v/>
      </c>
      <c r="C26" s="17">
        <f>-CUMPRINC($B$5/$B$7,$B$6*$B$7,$B$4,((15-1)*$B$7+1),(15*$B$7),0)</f>
        <v/>
      </c>
      <c r="D26" s="17">
        <f>-CUMIPMT($B$5/$B$7,$B$6*$B$7,$B$4,1,(15*$B$7),0)</f>
        <v/>
      </c>
      <c r="E26" s="17">
        <f>$B$4-(-CUMPRINC($B$5/$B$7,$B$6*$B$7,$B$4,1,(15*$B$7),0))</f>
        <v/>
      </c>
    </row>
    <row r="27">
      <c r="A27" s="2" t="n">
        <v>16</v>
      </c>
      <c r="B27" s="11">
        <f>-CUMIPMT($B$5/$B$7,$B$6*$B$7,$B$4,((16-1)*$B$7+1),(16*$B$7),0)</f>
        <v/>
      </c>
      <c r="C27" s="11">
        <f>-CUMPRINC($B$5/$B$7,$B$6*$B$7,$B$4,((16-1)*$B$7+1),(16*$B$7),0)</f>
        <v/>
      </c>
      <c r="D27" s="11">
        <f>-CUMIPMT($B$5/$B$7,$B$6*$B$7,$B$4,1,(16*$B$7),0)</f>
        <v/>
      </c>
      <c r="E27" s="11">
        <f>$B$4-(-CUMPRINC($B$5/$B$7,$B$6*$B$7,$B$4,1,(16*$B$7),0))</f>
        <v/>
      </c>
    </row>
    <row r="28">
      <c r="A28" s="16" t="n">
        <v>17</v>
      </c>
      <c r="B28" s="17">
        <f>-CUMIPMT($B$5/$B$7,$B$6*$B$7,$B$4,((17-1)*$B$7+1),(17*$B$7),0)</f>
        <v/>
      </c>
      <c r="C28" s="17">
        <f>-CUMPRINC($B$5/$B$7,$B$6*$B$7,$B$4,((17-1)*$B$7+1),(17*$B$7),0)</f>
        <v/>
      </c>
      <c r="D28" s="17">
        <f>-CUMIPMT($B$5/$B$7,$B$6*$B$7,$B$4,1,(17*$B$7),0)</f>
        <v/>
      </c>
      <c r="E28" s="17">
        <f>$B$4-(-CUMPRINC($B$5/$B$7,$B$6*$B$7,$B$4,1,(17*$B$7),0))</f>
        <v/>
      </c>
    </row>
    <row r="29">
      <c r="A29" s="2" t="n">
        <v>18</v>
      </c>
      <c r="B29" s="11">
        <f>-CUMIPMT($B$5/$B$7,$B$6*$B$7,$B$4,((18-1)*$B$7+1),(18*$B$7),0)</f>
        <v/>
      </c>
      <c r="C29" s="11">
        <f>-CUMPRINC($B$5/$B$7,$B$6*$B$7,$B$4,((18-1)*$B$7+1),(18*$B$7),0)</f>
        <v/>
      </c>
      <c r="D29" s="11">
        <f>-CUMIPMT($B$5/$B$7,$B$6*$B$7,$B$4,1,(18*$B$7),0)</f>
        <v/>
      </c>
      <c r="E29" s="11">
        <f>$B$4-(-CUMPRINC($B$5/$B$7,$B$6*$B$7,$B$4,1,(18*$B$7),0))</f>
        <v/>
      </c>
    </row>
    <row r="30">
      <c r="A30" s="16" t="n">
        <v>19</v>
      </c>
      <c r="B30" s="17">
        <f>-CUMIPMT($B$5/$B$7,$B$6*$B$7,$B$4,((19-1)*$B$7+1),(19*$B$7),0)</f>
        <v/>
      </c>
      <c r="C30" s="17">
        <f>-CUMPRINC($B$5/$B$7,$B$6*$B$7,$B$4,((19-1)*$B$7+1),(19*$B$7),0)</f>
        <v/>
      </c>
      <c r="D30" s="17">
        <f>-CUMIPMT($B$5/$B$7,$B$6*$B$7,$B$4,1,(19*$B$7),0)</f>
        <v/>
      </c>
      <c r="E30" s="17">
        <f>$B$4-(-CUMPRINC($B$5/$B$7,$B$6*$B$7,$B$4,1,(19*$B$7),0))</f>
        <v/>
      </c>
    </row>
    <row r="31">
      <c r="A31" s="2" t="n">
        <v>20</v>
      </c>
      <c r="B31" s="11">
        <f>-CUMIPMT($B$5/$B$7,$B$6*$B$7,$B$4,((20-1)*$B$7+1),(20*$B$7),0)</f>
        <v/>
      </c>
      <c r="C31" s="11">
        <f>-CUMPRINC($B$5/$B$7,$B$6*$B$7,$B$4,((20-1)*$B$7+1),(20*$B$7),0)</f>
        <v/>
      </c>
      <c r="D31" s="11">
        <f>-CUMIPMT($B$5/$B$7,$B$6*$B$7,$B$4,1,(20*$B$7),0)</f>
        <v/>
      </c>
      <c r="E31" s="11">
        <f>$B$4-(-CUMPRINC($B$5/$B$7,$B$6*$B$7,$B$4,1,(20*$B$7),0))</f>
        <v/>
      </c>
    </row>
    <row r="32">
      <c r="A32" s="16" t="n">
        <v>21</v>
      </c>
      <c r="B32" s="17">
        <f>-CUMIPMT($B$5/$B$7,$B$6*$B$7,$B$4,((21-1)*$B$7+1),(21*$B$7),0)</f>
        <v/>
      </c>
      <c r="C32" s="17">
        <f>-CUMPRINC($B$5/$B$7,$B$6*$B$7,$B$4,((21-1)*$B$7+1),(21*$B$7),0)</f>
        <v/>
      </c>
      <c r="D32" s="17">
        <f>-CUMIPMT($B$5/$B$7,$B$6*$B$7,$B$4,1,(21*$B$7),0)</f>
        <v/>
      </c>
      <c r="E32" s="17">
        <f>$B$4-(-CUMPRINC($B$5/$B$7,$B$6*$B$7,$B$4,1,(21*$B$7),0))</f>
        <v/>
      </c>
    </row>
    <row r="33">
      <c r="A33" s="2" t="n">
        <v>22</v>
      </c>
      <c r="B33" s="11">
        <f>-CUMIPMT($B$5/$B$7,$B$6*$B$7,$B$4,((22-1)*$B$7+1),(22*$B$7),0)</f>
        <v/>
      </c>
      <c r="C33" s="11">
        <f>-CUMPRINC($B$5/$B$7,$B$6*$B$7,$B$4,((22-1)*$B$7+1),(22*$B$7),0)</f>
        <v/>
      </c>
      <c r="D33" s="11">
        <f>-CUMIPMT($B$5/$B$7,$B$6*$B$7,$B$4,1,(22*$B$7),0)</f>
        <v/>
      </c>
      <c r="E33" s="11">
        <f>$B$4-(-CUMPRINC($B$5/$B$7,$B$6*$B$7,$B$4,1,(22*$B$7),0))</f>
        <v/>
      </c>
    </row>
    <row r="34">
      <c r="A34" s="16" t="n">
        <v>23</v>
      </c>
      <c r="B34" s="17">
        <f>-CUMIPMT($B$5/$B$7,$B$6*$B$7,$B$4,((23-1)*$B$7+1),(23*$B$7),0)</f>
        <v/>
      </c>
      <c r="C34" s="17">
        <f>-CUMPRINC($B$5/$B$7,$B$6*$B$7,$B$4,((23-1)*$B$7+1),(23*$B$7),0)</f>
        <v/>
      </c>
      <c r="D34" s="17">
        <f>-CUMIPMT($B$5/$B$7,$B$6*$B$7,$B$4,1,(23*$B$7),0)</f>
        <v/>
      </c>
      <c r="E34" s="17">
        <f>$B$4-(-CUMPRINC($B$5/$B$7,$B$6*$B$7,$B$4,1,(23*$B$7),0))</f>
        <v/>
      </c>
    </row>
    <row r="35">
      <c r="A35" s="2" t="n">
        <v>24</v>
      </c>
      <c r="B35" s="11">
        <f>-CUMIPMT($B$5/$B$7,$B$6*$B$7,$B$4,((24-1)*$B$7+1),(24*$B$7),0)</f>
        <v/>
      </c>
      <c r="C35" s="11">
        <f>-CUMPRINC($B$5/$B$7,$B$6*$B$7,$B$4,((24-1)*$B$7+1),(24*$B$7),0)</f>
        <v/>
      </c>
      <c r="D35" s="11">
        <f>-CUMIPMT($B$5/$B$7,$B$6*$B$7,$B$4,1,(24*$B$7),0)</f>
        <v/>
      </c>
      <c r="E35" s="11">
        <f>$B$4-(-CUMPRINC($B$5/$B$7,$B$6*$B$7,$B$4,1,(24*$B$7),0))</f>
        <v/>
      </c>
    </row>
    <row r="36">
      <c r="A36" s="16" t="n">
        <v>25</v>
      </c>
      <c r="B36" s="17">
        <f>-CUMIPMT($B$5/$B$7,$B$6*$B$7,$B$4,((25-1)*$B$7+1),(25*$B$7),0)</f>
        <v/>
      </c>
      <c r="C36" s="17">
        <f>-CUMPRINC($B$5/$B$7,$B$6*$B$7,$B$4,((25-1)*$B$7+1),(25*$B$7),0)</f>
        <v/>
      </c>
      <c r="D36" s="17">
        <f>-CUMIPMT($B$5/$B$7,$B$6*$B$7,$B$4,1,(25*$B$7),0)</f>
        <v/>
      </c>
      <c r="E36" s="17">
        <f>$B$4-(-CUMPRINC($B$5/$B$7,$B$6*$B$7,$B$4,1,(25*$B$7),0))</f>
        <v/>
      </c>
    </row>
    <row r="37">
      <c r="A37" s="2" t="n">
        <v>26</v>
      </c>
      <c r="B37" s="11">
        <f>-CUMIPMT($B$5/$B$7,$B$6*$B$7,$B$4,((26-1)*$B$7+1),(26*$B$7),0)</f>
        <v/>
      </c>
      <c r="C37" s="11">
        <f>-CUMPRINC($B$5/$B$7,$B$6*$B$7,$B$4,((26-1)*$B$7+1),(26*$B$7),0)</f>
        <v/>
      </c>
      <c r="D37" s="11">
        <f>-CUMIPMT($B$5/$B$7,$B$6*$B$7,$B$4,1,(26*$B$7),0)</f>
        <v/>
      </c>
      <c r="E37" s="11">
        <f>$B$4-(-CUMPRINC($B$5/$B$7,$B$6*$B$7,$B$4,1,(26*$B$7),0))</f>
        <v/>
      </c>
    </row>
    <row r="38">
      <c r="A38" s="16" t="n">
        <v>27</v>
      </c>
      <c r="B38" s="17">
        <f>-CUMIPMT($B$5/$B$7,$B$6*$B$7,$B$4,((27-1)*$B$7+1),(27*$B$7),0)</f>
        <v/>
      </c>
      <c r="C38" s="17">
        <f>-CUMPRINC($B$5/$B$7,$B$6*$B$7,$B$4,((27-1)*$B$7+1),(27*$B$7),0)</f>
        <v/>
      </c>
      <c r="D38" s="17">
        <f>-CUMIPMT($B$5/$B$7,$B$6*$B$7,$B$4,1,(27*$B$7),0)</f>
        <v/>
      </c>
      <c r="E38" s="17">
        <f>$B$4-(-CUMPRINC($B$5/$B$7,$B$6*$B$7,$B$4,1,(27*$B$7),0))</f>
        <v/>
      </c>
    </row>
    <row r="39">
      <c r="A39" s="2" t="n">
        <v>28</v>
      </c>
      <c r="B39" s="11">
        <f>-CUMIPMT($B$5/$B$7,$B$6*$B$7,$B$4,((28-1)*$B$7+1),(28*$B$7),0)</f>
        <v/>
      </c>
      <c r="C39" s="11">
        <f>-CUMPRINC($B$5/$B$7,$B$6*$B$7,$B$4,((28-1)*$B$7+1),(28*$B$7),0)</f>
        <v/>
      </c>
      <c r="D39" s="11">
        <f>-CUMIPMT($B$5/$B$7,$B$6*$B$7,$B$4,1,(28*$B$7),0)</f>
        <v/>
      </c>
      <c r="E39" s="11">
        <f>$B$4-(-CUMPRINC($B$5/$B$7,$B$6*$B$7,$B$4,1,(28*$B$7),0))</f>
        <v/>
      </c>
    </row>
    <row r="40">
      <c r="A40" s="16" t="n">
        <v>29</v>
      </c>
      <c r="B40" s="17">
        <f>-CUMIPMT($B$5/$B$7,$B$6*$B$7,$B$4,((29-1)*$B$7+1),(29*$B$7),0)</f>
        <v/>
      </c>
      <c r="C40" s="17">
        <f>-CUMPRINC($B$5/$B$7,$B$6*$B$7,$B$4,((29-1)*$B$7+1),(29*$B$7),0)</f>
        <v/>
      </c>
      <c r="D40" s="17">
        <f>-CUMIPMT($B$5/$B$7,$B$6*$B$7,$B$4,1,(29*$B$7),0)</f>
        <v/>
      </c>
      <c r="E40" s="17">
        <f>$B$4-(-CUMPRINC($B$5/$B$7,$B$6*$B$7,$B$4,1,(29*$B$7),0))</f>
        <v/>
      </c>
    </row>
    <row r="41">
      <c r="A41" s="2" t="n">
        <v>30</v>
      </c>
      <c r="B41" s="11">
        <f>-CUMIPMT($B$5/$B$7,$B$6*$B$7,$B$4,((30-1)*$B$7+1),(30*$B$7),0)</f>
        <v/>
      </c>
      <c r="C41" s="11">
        <f>-CUMPRINC($B$5/$B$7,$B$6*$B$7,$B$4,((30-1)*$B$7+1),(30*$B$7),0)</f>
        <v/>
      </c>
      <c r="D41" s="11">
        <f>-CUMIPMT($B$5/$B$7,$B$6*$B$7,$B$4,1,(30*$B$7),0)</f>
        <v/>
      </c>
      <c r="E41" s="11">
        <f>$B$4-(-CUMPRINC($B$5/$B$7,$B$6*$B$7,$B$4,1,(30*$B$7),0))</f>
        <v/>
      </c>
    </row>
    <row r="43">
      <c r="A43" s="10" t="inlineStr">
        <is>
          <t>Total of all payments</t>
        </is>
      </c>
      <c r="B43" s="18">
        <f>B8*$B$6*$B$7</f>
        <v/>
      </c>
    </row>
    <row r="44">
      <c r="A44" s="10" t="inlineStr">
        <is>
          <t>Total interest over the life of the loan</t>
        </is>
      </c>
      <c r="B44" s="19">
        <f>B8*$B$6*$B$7-$B$4</f>
        <v/>
      </c>
    </row>
    <row r="45">
      <c r="A45" s="10" t="inlineStr">
        <is>
          <t>Interest as a share of the amount borrowed</t>
        </is>
      </c>
      <c r="B45" s="20">
        <f>(B8*$B$6*$B$7-$B$4)/$B$4</f>
        <v/>
      </c>
    </row>
    <row r="46">
      <c r="A46" s="10" t="inlineStr">
        <is>
          <t>Share of the FIRST payment that is interest</t>
        </is>
      </c>
      <c r="B46" s="20">
        <f>$B$4*$B$5/$B$7/B8</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10" customWidth="1" min="1" max="1"/>
    <col width="18" customWidth="1" min="2" max="2"/>
    <col width="26" customWidth="1" min="3" max="3"/>
    <col width="26" customWidth="1" min="4" max="4"/>
  </cols>
  <sheetData>
    <row r="1">
      <c r="A1" s="1" t="inlineStr">
        <is>
          <t>Same Product, Two Designs (Chapter 8)</t>
        </is>
      </c>
    </row>
    <row r="2">
      <c r="A2" s="4" t="inlineStr">
        <is>
          <t>Identical insured, carrier, and premium. The only difference is design. Real illustration figures.</t>
        </is>
      </c>
    </row>
    <row r="3"/>
    <row r="4">
      <c r="A4" s="3" t="inlineStr">
        <is>
          <t>Whole life: $24,810/yr. Off-the-shelf (all base) vs. well-designed (base + paid-up additions).</t>
        </is>
      </c>
    </row>
    <row r="5">
      <c r="A5" s="5" t="inlineStr">
        <is>
          <t>Year</t>
        </is>
      </c>
      <c r="B5" s="5" t="inlineStr">
        <is>
          <t>Premiums Paid</t>
        </is>
      </c>
      <c r="C5" s="5" t="inlineStr">
        <is>
          <t>Cash Value, Off-the-Shelf</t>
        </is>
      </c>
      <c r="D5" s="5" t="inlineStr">
        <is>
          <t>Cash Value, Well-Designed</t>
        </is>
      </c>
    </row>
    <row r="6">
      <c r="A6" s="21" t="n">
        <v>1</v>
      </c>
      <c r="B6" s="17" t="n">
        <v>24810</v>
      </c>
      <c r="C6" s="17" t="n">
        <v>0</v>
      </c>
      <c r="D6" s="17" t="n">
        <v>20567</v>
      </c>
    </row>
    <row r="7">
      <c r="A7" s="22" t="n">
        <v>5</v>
      </c>
      <c r="B7" s="11" t="n">
        <v>124051</v>
      </c>
      <c r="C7" s="11" t="n">
        <v>71446</v>
      </c>
      <c r="D7" s="11" t="n">
        <v>125739</v>
      </c>
    </row>
    <row r="8">
      <c r="A8" s="21" t="n">
        <v>10</v>
      </c>
      <c r="B8" s="17" t="n">
        <v>248101</v>
      </c>
      <c r="C8" s="17" t="n">
        <v>240291</v>
      </c>
      <c r="D8" s="17" t="n">
        <v>299901</v>
      </c>
    </row>
    <row r="9">
      <c r="A9" s="22" t="n">
        <v>15</v>
      </c>
      <c r="B9" s="11" t="n">
        <v>372152</v>
      </c>
      <c r="C9" s="11" t="n">
        <v>464068</v>
      </c>
      <c r="D9" s="11" t="n">
        <v>533876</v>
      </c>
    </row>
    <row r="10">
      <c r="A10" s="21" t="n">
        <v>20</v>
      </c>
      <c r="B10" s="17" t="n">
        <v>496202</v>
      </c>
      <c r="C10" s="17" t="n">
        <v>743025</v>
      </c>
      <c r="D10" s="17" t="n">
        <v>839760</v>
      </c>
    </row>
    <row r="11">
      <c r="A11" s="4" t="inlineStr">
        <is>
          <t>Off-the-shelf buys a $1.5M death benefit you may not need and starves the early cash value. Well-designed crosses premiums in Year 5; off-the-shelf not until Year 11.</t>
        </is>
      </c>
    </row>
    <row r="12"/>
    <row r="13">
      <c r="A13" s="3" t="inlineStr">
        <is>
          <t>Indexed universal life: $11,321/yr. Poor design vs. well-designed (cash surrender value).</t>
        </is>
      </c>
    </row>
    <row r="14">
      <c r="A14" s="5" t="inlineStr">
        <is>
          <t>Year</t>
        </is>
      </c>
      <c r="B14" s="5" t="inlineStr">
        <is>
          <t>Premiums Paid</t>
        </is>
      </c>
      <c r="C14" s="5" t="inlineStr">
        <is>
          <t>Cash Value, Poor Design</t>
        </is>
      </c>
      <c r="D14" s="5" t="inlineStr">
        <is>
          <t>Cash Value, Well-Designed</t>
        </is>
      </c>
    </row>
    <row r="15">
      <c r="A15" s="21" t="n">
        <v>1</v>
      </c>
      <c r="B15" s="17" t="n">
        <v>11321</v>
      </c>
      <c r="C15" s="17" t="n">
        <v>0</v>
      </c>
      <c r="D15" s="17" t="n">
        <v>7738</v>
      </c>
    </row>
    <row r="16">
      <c r="A16" s="22" t="n">
        <v>5</v>
      </c>
      <c r="B16" s="11" t="n">
        <v>56605</v>
      </c>
      <c r="C16" s="11" t="n">
        <v>19081</v>
      </c>
      <c r="D16" s="11" t="n">
        <v>57746</v>
      </c>
    </row>
    <row r="17">
      <c r="A17" s="21" t="n">
        <v>10</v>
      </c>
      <c r="B17" s="17" t="n">
        <v>113210</v>
      </c>
      <c r="C17" s="17" t="n">
        <v>111241</v>
      </c>
      <c r="D17" s="17" t="n">
        <v>143196</v>
      </c>
    </row>
    <row r="18">
      <c r="A18" s="22" t="n">
        <v>15</v>
      </c>
      <c r="B18" s="11" t="n">
        <v>169815</v>
      </c>
      <c r="C18" s="11" t="n">
        <v>232731</v>
      </c>
      <c r="D18" s="11" t="n">
        <v>263196</v>
      </c>
    </row>
    <row r="19">
      <c r="A19" s="21" t="n">
        <v>20</v>
      </c>
      <c r="B19" s="17" t="n">
        <v>226420</v>
      </c>
      <c r="C19" s="17" t="n">
        <v>390310</v>
      </c>
      <c r="D19" s="17" t="n">
        <v>429083</v>
      </c>
    </row>
    <row r="20">
      <c r="A20" s="4" t="inlineStr">
        <is>
          <t>Both designs converge near age 70. The far-right number is not the point; the early-year shape is.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56" customWidth="1" min="1" max="1"/>
    <col width="18" customWidth="1" min="2" max="2"/>
  </cols>
  <sheetData>
    <row r="1">
      <c r="A1" s="1" t="inlineStr">
        <is>
          <t>A Rental, Bought With Your Own Bank (Chapter 10)</t>
        </is>
      </c>
    </row>
    <row r="2">
      <c r="A2" s="4" t="inlineStr">
        <is>
          <t>The "Jones" example from the Foreword, modeled in full. Jones has a whole life policy with about $80,000 of cash value (roughly Year 4 of the Chapter 6 policy). He borrows $50,000 against it to buy a modest rental. Blue cells are assumptions.</t>
        </is>
      </c>
    </row>
    <row r="4">
      <c r="A4" s="2" t="inlineStr">
        <is>
          <t>Cash value in the policy</t>
        </is>
      </c>
      <c r="B4" s="12" t="n">
        <v>80000</v>
      </c>
    </row>
    <row r="5">
      <c r="A5" s="2" t="inlineStr">
        <is>
          <t>Amount borrowed (policy loan or outside line)</t>
        </is>
      </c>
      <c r="B5" s="12" t="n">
        <v>50000</v>
      </c>
    </row>
    <row r="6">
      <c r="A6" s="2" t="inlineStr">
        <is>
          <t>Loan interest rate</t>
        </is>
      </c>
      <c r="B6" s="23" t="n">
        <v>0.05</v>
      </c>
    </row>
    <row r="7">
      <c r="A7" s="2" t="inlineStr">
        <is>
          <t>Loan repayment term (years)</t>
        </is>
      </c>
      <c r="B7" s="14" t="n">
        <v>10</v>
      </c>
    </row>
    <row r="8">
      <c r="A8" s="2" t="inlineStr">
        <is>
          <t>Rental purchase price (cash, from the loan)</t>
        </is>
      </c>
      <c r="B8" s="12" t="n">
        <v>50000</v>
      </c>
    </row>
    <row r="9">
      <c r="A9" s="2" t="inlineStr">
        <is>
          <t>Gross rent per month</t>
        </is>
      </c>
      <c r="B9" s="12" t="n">
        <v>1200</v>
      </c>
    </row>
    <row r="10">
      <c r="A10" s="2" t="inlineStr">
        <is>
          <t>Operating costs per month (tax, insurance, upkeep, vacancy)</t>
        </is>
      </c>
      <c r="B10" s="12" t="n">
        <v>360</v>
      </c>
    </row>
    <row r="11">
      <c r="A11" s="2" t="inlineStr">
        <is>
          <t>Depreciation period (years, residential)</t>
        </is>
      </c>
      <c r="B11" s="24" t="n">
        <v>27.5</v>
      </c>
    </row>
    <row r="13">
      <c r="A13" s="3" t="inlineStr">
        <is>
          <t>Annual cash flow:</t>
        </is>
      </c>
    </row>
    <row r="14">
      <c r="A14" s="2" t="inlineStr">
        <is>
          <t>Gross rent</t>
        </is>
      </c>
      <c r="B14" s="11">
        <f>$B$9*12</f>
        <v/>
      </c>
    </row>
    <row r="15">
      <c r="A15" s="2" t="inlineStr">
        <is>
          <t>Operating costs</t>
        </is>
      </c>
      <c r="B15" s="11">
        <f>-$B$10*12</f>
        <v/>
      </c>
    </row>
    <row r="16">
      <c r="A16" s="2" t="inlineStr">
        <is>
          <t>Net operating income</t>
        </is>
      </c>
      <c r="B16" s="11">
        <f>$B$9*12-$B$10*12</f>
        <v/>
      </c>
    </row>
    <row r="17">
      <c r="A17" s="2" t="inlineStr">
        <is>
          <t>Loan repayment (principal + interest)</t>
        </is>
      </c>
      <c r="B17" s="11">
        <f>-(-PMT($B$6,$B$7,$B$5))</f>
        <v/>
      </c>
    </row>
    <row r="18">
      <c r="A18" s="10" t="inlineStr">
        <is>
          <t>Net cash flow, after loan repayment</t>
        </is>
      </c>
      <c r="B18" s="19">
        <f>$B$9*12-$B$10*12-(-PMT($B$6,$B$7,$B$5))</f>
        <v/>
      </c>
    </row>
    <row r="19">
      <c r="A19" s="2" t="inlineStr">
        <is>
          <t>Depreciation (non-cash tax deduction)</t>
        </is>
      </c>
      <c r="B19" s="11">
        <f>-$B$8/$B$11</f>
        <v/>
      </c>
    </row>
    <row r="20">
      <c r="A20" s="2" t="inlineStr">
        <is>
          <t>Taxable rental income after depreciation</t>
        </is>
      </c>
      <c r="B20" s="11">
        <f>$B$9*12-$B$10*12-$B$5*$B$6-$B$8/$B$11</f>
        <v/>
      </c>
    </row>
    <row r="22">
      <c r="A22" s="3" t="inlineStr">
        <is>
          <t>The two jobs the $50,000 is doing at once:</t>
        </is>
      </c>
    </row>
    <row r="23">
      <c r="A23" s="2" t="inlineStr">
        <is>
          <t>Job 1 - The rental: positive cash flow now, and after 10 years the loan is repaid and Jones owns the property free and clear.</t>
        </is>
      </c>
    </row>
    <row r="24">
      <c r="A24" s="2" t="inlineStr">
        <is>
          <t>Job 2 - The policy: a loan does not remove cash value, it borrows against it. The full $80,000 keeps earning dividends as if nothing happened. From the Chapter 6 ledger, a policy near $80,000 keeps compounding toward six figures over the same decade.</t>
        </is>
      </c>
    </row>
    <row r="26">
      <c r="A26" s="4" t="inlineStr">
        <is>
          <t>Compare: paying $50,000 cash for the rental would have done Job 1 only. The dollar would have left and stopped compounding. Same purchase, half the working power.</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35"/>
  <sheetViews>
    <sheetView workbookViewId="0">
      <selection activeCell="A1" sqref="A1"/>
    </sheetView>
  </sheetViews>
  <sheetFormatPr baseColWidth="8" defaultRowHeight="15"/>
  <cols>
    <col width="46" customWidth="1" min="1" max="1"/>
    <col width="18" customWidth="1" min="2" max="2"/>
    <col width="22" customWidth="1" min="3" max="3"/>
    <col width="26" customWidth="1" min="4" max="4"/>
    <col width="16" customWidth="1" min="5" max="5"/>
  </cols>
  <sheetData>
    <row r="1">
      <c r="A1" s="1" t="inlineStr">
        <is>
          <t>Retirement Income: The Buffer, and Tax-Free Draw (Chapter 11)</t>
        </is>
      </c>
    </row>
    <row r="2">
      <c r="A2" s="4" t="inlineStr">
        <is>
          <t>Two retirees, identical money, identical markets, identical income need. The only difference: one sells in down years, one covers down years from cash value. Blue = assumptions.</t>
        </is>
      </c>
    </row>
    <row r="4">
      <c r="A4" s="2" t="inlineStr">
        <is>
          <t>Starting portfolio (each)</t>
        </is>
      </c>
      <c r="B4" s="12" t="n">
        <v>1000000</v>
      </c>
    </row>
    <row r="5">
      <c r="A5" s="2" t="inlineStr">
        <is>
          <t>Annual income drawn</t>
        </is>
      </c>
      <c r="B5" s="12" t="n">
        <v>50000</v>
      </c>
    </row>
    <row r="6">
      <c r="A6" s="2" t="inlineStr">
        <is>
          <t>Steady-state return after the first 5 years</t>
        </is>
      </c>
      <c r="B6" s="23" t="n">
        <v>0.08</v>
      </c>
    </row>
    <row r="8">
      <c r="A8" s="3" t="inlineStr">
        <is>
          <t>Return path (first 5 years, blue):</t>
        </is>
      </c>
    </row>
    <row r="9">
      <c r="A9" s="5" t="inlineStr">
        <is>
          <t>Year</t>
        </is>
      </c>
      <c r="B9" s="5" t="inlineStr">
        <is>
          <t>Market return</t>
        </is>
      </c>
      <c r="C9" s="5" t="inlineStr">
        <is>
          <t>Retiree A: sells every year</t>
        </is>
      </c>
      <c r="D9" s="5" t="inlineStr">
        <is>
          <t>Retiree B: covers down years from cash value</t>
        </is>
      </c>
      <c r="E9" s="5" t="inlineStr">
        <is>
          <t>A down-year? (B draws from policy)</t>
        </is>
      </c>
    </row>
    <row r="10">
      <c r="A10" s="16" t="n">
        <v>1</v>
      </c>
      <c r="B10" s="25" t="n">
        <v>-0.3</v>
      </c>
      <c r="C10" s="17">
        <f>($B$4-$B$5)*(1+B10)</f>
        <v/>
      </c>
      <c r="D10" s="17">
        <f>IF(E10=1,$B$4*(1+B10),($B$4-$B$5)*(1+B10))</f>
        <v/>
      </c>
      <c r="E10" s="26" t="n">
        <v>1</v>
      </c>
    </row>
    <row r="11">
      <c r="A11" s="2" t="n">
        <v>2</v>
      </c>
      <c r="B11" s="23" t="n">
        <v>-0.1</v>
      </c>
      <c r="C11" s="11">
        <f>(C10-$B$5)*(1+B11)</f>
        <v/>
      </c>
      <c r="D11" s="11">
        <f>IF(E11=1,D10*(1+B11),(D10-$B$5)*(1+B11))</f>
        <v/>
      </c>
      <c r="E11" s="14" t="n">
        <v>1</v>
      </c>
    </row>
    <row r="12">
      <c r="A12" s="16" t="n">
        <v>3</v>
      </c>
      <c r="B12" s="25" t="n">
        <v>0.2</v>
      </c>
      <c r="C12" s="17">
        <f>(C11-$B$5)*(1+B12)</f>
        <v/>
      </c>
      <c r="D12" s="17">
        <f>IF(E12=1,D11*(1+B12),(D11-$B$5)*(1+B12))</f>
        <v/>
      </c>
      <c r="E12" s="26" t="n">
        <v>0</v>
      </c>
    </row>
    <row r="13">
      <c r="A13" s="2" t="n">
        <v>4</v>
      </c>
      <c r="B13" s="23" t="n">
        <v>0.15</v>
      </c>
      <c r="C13" s="11">
        <f>(C12-$B$5)*(1+B13)</f>
        <v/>
      </c>
      <c r="D13" s="11">
        <f>IF(E13=1,D12*(1+B13),(D12-$B$5)*(1+B13))</f>
        <v/>
      </c>
      <c r="E13" s="14" t="n">
        <v>0</v>
      </c>
    </row>
    <row r="14">
      <c r="A14" s="16" t="n">
        <v>5</v>
      </c>
      <c r="B14" s="25" t="n">
        <v>0.1</v>
      </c>
      <c r="C14" s="17">
        <f>(C13-$B$5)*(1+B14)</f>
        <v/>
      </c>
      <c r="D14" s="17">
        <f>IF(E14=1,D13*(1+B14),(D13-$B$5)*(1+B14))</f>
        <v/>
      </c>
      <c r="E14" s="26" t="n">
        <v>0</v>
      </c>
    </row>
    <row r="15">
      <c r="A15" s="2" t="n">
        <v>6</v>
      </c>
      <c r="B15" s="27">
        <f>$B$6</f>
        <v/>
      </c>
      <c r="C15" s="11">
        <f>(C14-$B$5)*(1+B15)</f>
        <v/>
      </c>
      <c r="D15" s="11">
        <f>IF(E15=1,D14*(1+B15),(D14-$B$5)*(1+B15))</f>
        <v/>
      </c>
      <c r="E15" s="22" t="n">
        <v>0</v>
      </c>
    </row>
    <row r="16">
      <c r="A16" s="16" t="n">
        <v>7</v>
      </c>
      <c r="B16" s="28">
        <f>$B$6</f>
        <v/>
      </c>
      <c r="C16" s="17">
        <f>(C15-$B$5)*(1+B16)</f>
        <v/>
      </c>
      <c r="D16" s="17">
        <f>IF(E16=1,D15*(1+B16),(D15-$B$5)*(1+B16))</f>
        <v/>
      </c>
      <c r="E16" s="21" t="n">
        <v>0</v>
      </c>
    </row>
    <row r="17">
      <c r="A17" s="2" t="n">
        <v>8</v>
      </c>
      <c r="B17" s="27">
        <f>$B$6</f>
        <v/>
      </c>
      <c r="C17" s="11">
        <f>(C16-$B$5)*(1+B17)</f>
        <v/>
      </c>
      <c r="D17" s="11">
        <f>IF(E17=1,D16*(1+B17),(D16-$B$5)*(1+B17))</f>
        <v/>
      </c>
      <c r="E17" s="22" t="n">
        <v>0</v>
      </c>
    </row>
    <row r="18">
      <c r="A18" s="16" t="n">
        <v>9</v>
      </c>
      <c r="B18" s="28">
        <f>$B$6</f>
        <v/>
      </c>
      <c r="C18" s="17">
        <f>(C17-$B$5)*(1+B18)</f>
        <v/>
      </c>
      <c r="D18" s="17">
        <f>IF(E18=1,D17*(1+B18),(D17-$B$5)*(1+B18))</f>
        <v/>
      </c>
      <c r="E18" s="21" t="n">
        <v>0</v>
      </c>
    </row>
    <row r="19">
      <c r="A19" s="2" t="n">
        <v>10</v>
      </c>
      <c r="B19" s="27">
        <f>$B$6</f>
        <v/>
      </c>
      <c r="C19" s="11">
        <f>(C18-$B$5)*(1+B19)</f>
        <v/>
      </c>
      <c r="D19" s="11">
        <f>IF(E19=1,D18*(1+B19),(D18-$B$5)*(1+B19))</f>
        <v/>
      </c>
      <c r="E19" s="22" t="n">
        <v>0</v>
      </c>
    </row>
    <row r="20">
      <c r="A20" s="16" t="n">
        <v>11</v>
      </c>
      <c r="B20" s="28">
        <f>$B$6</f>
        <v/>
      </c>
      <c r="C20" s="17">
        <f>(C19-$B$5)*(1+B20)</f>
        <v/>
      </c>
      <c r="D20" s="17">
        <f>IF(E20=1,D19*(1+B20),(D19-$B$5)*(1+B20))</f>
        <v/>
      </c>
      <c r="E20" s="21" t="n">
        <v>0</v>
      </c>
    </row>
    <row r="21">
      <c r="A21" s="2" t="n">
        <v>12</v>
      </c>
      <c r="B21" s="27">
        <f>$B$6</f>
        <v/>
      </c>
      <c r="C21" s="11">
        <f>(C20-$B$5)*(1+B21)</f>
        <v/>
      </c>
      <c r="D21" s="11">
        <f>IF(E21=1,D20*(1+B21),(D20-$B$5)*(1+B21))</f>
        <v/>
      </c>
      <c r="E21" s="22" t="n">
        <v>0</v>
      </c>
    </row>
    <row r="22">
      <c r="A22" s="16" t="n">
        <v>13</v>
      </c>
      <c r="B22" s="28">
        <f>$B$6</f>
        <v/>
      </c>
      <c r="C22" s="17">
        <f>(C21-$B$5)*(1+B22)</f>
        <v/>
      </c>
      <c r="D22" s="17">
        <f>IF(E22=1,D21*(1+B22),(D21-$B$5)*(1+B22))</f>
        <v/>
      </c>
      <c r="E22" s="21" t="n">
        <v>0</v>
      </c>
    </row>
    <row r="23">
      <c r="A23" s="2" t="n">
        <v>14</v>
      </c>
      <c r="B23" s="27">
        <f>$B$6</f>
        <v/>
      </c>
      <c r="C23" s="11">
        <f>(C22-$B$5)*(1+B23)</f>
        <v/>
      </c>
      <c r="D23" s="11">
        <f>IF(E23=1,D22*(1+B23),(D22-$B$5)*(1+B23))</f>
        <v/>
      </c>
      <c r="E23" s="22" t="n">
        <v>0</v>
      </c>
    </row>
    <row r="24">
      <c r="A24" s="16" t="n">
        <v>15</v>
      </c>
      <c r="B24" s="28">
        <f>$B$6</f>
        <v/>
      </c>
      <c r="C24" s="17">
        <f>(C23-$B$5)*(1+B24)</f>
        <v/>
      </c>
      <c r="D24" s="17">
        <f>IF(E24=1,D23*(1+B24),(D23-$B$5)*(1+B24))</f>
        <v/>
      </c>
      <c r="E24" s="21" t="n">
        <v>0</v>
      </c>
    </row>
    <row r="26">
      <c r="A26" s="10" t="inlineStr">
        <is>
          <t>Retiree A ending portfolio (sold through the downturn)</t>
        </is>
      </c>
      <c r="C26" s="18">
        <f>C24</f>
        <v/>
      </c>
    </row>
    <row r="27">
      <c r="A27" s="10" t="inlineStr">
        <is>
          <t>Retiree B ending portfolio (buffered the down years)</t>
        </is>
      </c>
      <c r="D27" s="19">
        <f>D24</f>
        <v/>
      </c>
    </row>
    <row r="28">
      <c r="A28" s="10" t="inlineStr">
        <is>
          <t>Difference from not selling at the bottom</t>
        </is>
      </c>
      <c r="D28" s="19">
        <f>D24-C24</f>
        <v/>
      </c>
    </row>
    <row r="29">
      <c r="A29" s="4" t="inlineStr">
        <is>
          <t>(B draws the down years from cash value instead, then repays from the up years. Modeled simply: B skips selling in down years.)</t>
        </is>
      </c>
    </row>
    <row r="31">
      <c r="A31" s="3" t="inlineStr">
        <is>
          <t>Tax-free income off the Chapter 7 IUL (illustrative arithmetic, not a distribution ledger):</t>
        </is>
      </c>
    </row>
    <row r="32">
      <c r="A32" s="2" t="inlineStr">
        <is>
          <t>Cash value at age 65 (from IUL_Illustration)</t>
        </is>
      </c>
      <c r="B32" s="11" t="n">
        <v>3250000</v>
      </c>
    </row>
    <row r="33">
      <c r="A33" s="2" t="inlineStr">
        <is>
          <t>Annual draw rate (blue)</t>
        </is>
      </c>
      <c r="B33" s="23" t="n">
        <v>0.045</v>
      </c>
    </row>
    <row r="34">
      <c r="A34" s="2" t="inlineStr">
        <is>
          <t>Annual income, accessed tax-free via loans/withdrawals to basis</t>
        </is>
      </c>
      <c r="B34" s="19">
        <f>B32*B33</f>
        <v/>
      </c>
    </row>
    <row r="35">
      <c r="A35" s="4" t="inlineStr">
        <is>
          <t>Do not get hung up on what an illustration can show for income. Real cash growth drives real draw; numbers can be manipulated. This is a conservative 4.5% draw on the current-scale value.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40" customWidth="1" min="1" max="1"/>
    <col width="20" customWidth="1" min="2" max="2"/>
    <col width="20" customWidth="1" min="3" max="3"/>
    <col width="22" customWidth="1" min="4" max="4"/>
    <col width="40" customWidth="1" min="5" max="5"/>
  </cols>
  <sheetData>
    <row r="1">
      <c r="A1" s="1" t="inlineStr">
        <is>
          <t>Your Business as Its Own Bank (Chapter 12)</t>
        </is>
      </c>
    </row>
    <row r="2">
      <c r="A2" s="4" t="inlineStr">
        <is>
          <t>Idle reserve money - payroll float, the tax set-aside, the equipment fund - usually sits doing nothing. Here it funds a policy, then the policy funds the business. Cash-value figures track the same Chapter 6 whole life ledger (same product). Blue = assumptions.</t>
        </is>
      </c>
    </row>
    <row r="4">
      <c r="A4" s="2" t="inlineStr">
        <is>
          <t>Annual premium redirected from idle reserves</t>
        </is>
      </c>
      <c r="B4" s="12" t="n">
        <v>24810</v>
      </c>
    </row>
    <row r="5">
      <c r="A5" s="2" t="inlineStr">
        <is>
          <t>Equipment purchase financed against the policy (Year 2)</t>
        </is>
      </c>
      <c r="B5" s="12" t="n">
        <v>30000</v>
      </c>
    </row>
    <row r="6">
      <c r="A6" s="2" t="inlineStr">
        <is>
          <t>Loan rate on the policy line</t>
        </is>
      </c>
      <c r="B6" s="23" t="n">
        <v>0.06</v>
      </c>
    </row>
    <row r="7">
      <c r="A7" s="2" t="inlineStr">
        <is>
          <t>Loan repaid over (months)</t>
        </is>
      </c>
      <c r="B7" s="14" t="n">
        <v>24</v>
      </c>
    </row>
    <row r="9">
      <c r="A9" s="3" t="inlineStr">
        <is>
          <t>The cycle (cash value from the real WL ledger, current scale):</t>
        </is>
      </c>
    </row>
    <row r="10">
      <c r="A10" s="5" t="inlineStr">
        <is>
          <t>Year</t>
        </is>
      </c>
      <c r="B10" s="5" t="inlineStr">
        <is>
          <t>Premium into policy</t>
        </is>
      </c>
      <c r="C10" s="5" t="inlineStr">
        <is>
          <t>Policy cash value</t>
        </is>
      </c>
      <c r="D10" s="5" t="inlineStr">
        <is>
          <t>Borrowed for the business</t>
        </is>
      </c>
      <c r="E10" s="5" t="inlineStr">
        <is>
          <t>Cash value still compounding?</t>
        </is>
      </c>
    </row>
    <row r="11">
      <c r="A11" s="16" t="n">
        <v>1</v>
      </c>
      <c r="B11" s="17">
        <f>B4</f>
        <v/>
      </c>
      <c r="C11" s="17" t="n">
        <v>20567</v>
      </c>
      <c r="D11" s="17" t="n">
        <v>0</v>
      </c>
      <c r="E11" s="16" t="inlineStr">
        <is>
          <t>Yes - untouched</t>
        </is>
      </c>
    </row>
    <row r="12">
      <c r="A12" s="2" t="n">
        <v>2</v>
      </c>
      <c r="B12" s="11">
        <f>B4</f>
        <v/>
      </c>
      <c r="C12" s="2" t="inlineStr">
        <is>
          <t>~57,000</t>
        </is>
      </c>
      <c r="D12" s="11">
        <f>B5</f>
        <v/>
      </c>
      <c r="E12" s="2" t="inlineStr">
        <is>
          <t>Yes - loan is collateralized, not withdrawn</t>
        </is>
      </c>
    </row>
    <row r="13">
      <c r="A13" s="16" t="n">
        <v>3</v>
      </c>
      <c r="B13" s="17">
        <f>B4</f>
        <v/>
      </c>
      <c r="C13" s="16" t="inlineStr">
        <is>
          <t>~96,000</t>
        </is>
      </c>
      <c r="D13" s="16" t="inlineStr">
        <is>
          <t>repaying</t>
        </is>
      </c>
      <c r="E13" s="16" t="inlineStr">
        <is>
          <t>Yes</t>
        </is>
      </c>
    </row>
    <row r="14">
      <c r="A14" s="2" t="n">
        <v>4</v>
      </c>
      <c r="B14" s="11">
        <f>B4</f>
        <v/>
      </c>
      <c r="C14" s="2" t="inlineStr">
        <is>
          <t>~110,000</t>
        </is>
      </c>
      <c r="D14" s="2" t="inlineStr">
        <is>
          <t>repaid</t>
        </is>
      </c>
      <c r="E14" s="2" t="inlineStr">
        <is>
          <t>Yes - full value, plus the equipment it bought</t>
        </is>
      </c>
    </row>
    <row r="15">
      <c r="A15" s="16" t="n">
        <v>5</v>
      </c>
      <c r="B15" s="17">
        <f>B4</f>
        <v/>
      </c>
      <c r="C15" s="17" t="n">
        <v>125739</v>
      </c>
      <c r="D15" s="17" t="n">
        <v>0</v>
      </c>
      <c r="E15" s="16" t="inlineStr">
        <is>
          <t>Yes - real Year 5 ledger value</t>
        </is>
      </c>
    </row>
    <row r="17">
      <c r="A17" s="10" t="inlineStr">
        <is>
          <t>Cost to borrow $30,000 at 6% over 24 months (interest only portion)</t>
        </is>
      </c>
      <c r="B17" s="18">
        <f>B5*B6*(B7/12)/2</f>
        <v/>
      </c>
    </row>
    <row r="18">
      <c r="A18" s="4" t="inlineStr">
        <is>
          <t>The point: the reserve dollars do two jobs. They build cash value AND, borrowed against, they buy the equipment. The bank you own instead of the one you rent.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30" customWidth="1" min="1" max="1"/>
    <col width="16" customWidth="1" min="2" max="2"/>
    <col width="16" customWidth="1" min="3" max="3"/>
    <col width="18" customWidth="1" min="4" max="4"/>
    <col width="22" customWidth="1" min="5" max="5"/>
  </cols>
  <sheetData>
    <row r="1">
      <c r="A1" s="1" t="inlineStr">
        <is>
          <t>Three Buckets, Same Dollars (Chapter 13)</t>
        </is>
      </c>
    </row>
    <row r="2">
      <c r="A2" s="4" t="inlineStr">
        <is>
          <t>$10,000 a year for 20 years into each bucket, at the same assumed growth rate, then accessed. The growth rate is an ASSUMPTION (blue) and is the same across buckets so only the tax treatment differs. Real returns vary.</t>
        </is>
      </c>
    </row>
    <row r="4">
      <c r="A4" s="2" t="inlineStr">
        <is>
          <t>Annual contribution</t>
        </is>
      </c>
      <c r="B4" s="12" t="n">
        <v>10000</v>
      </c>
    </row>
    <row r="5">
      <c r="A5" s="2" t="inlineStr">
        <is>
          <t>Years</t>
        </is>
      </c>
      <c r="B5" s="14" t="n">
        <v>20</v>
      </c>
    </row>
    <row r="6">
      <c r="A6" s="2" t="inlineStr">
        <is>
          <t>Assumed annual growth (same for all buckets)</t>
        </is>
      </c>
      <c r="B6" s="23" t="n">
        <v>0.07000000000000001</v>
      </c>
    </row>
    <row r="7">
      <c r="A7" s="2" t="inlineStr">
        <is>
          <t>Tax drag on a taxable account each year</t>
        </is>
      </c>
      <c r="B7" s="23" t="n">
        <v>0.2</v>
      </c>
    </row>
    <row r="8">
      <c r="A8" s="2" t="inlineStr">
        <is>
          <t>Ordinary income tax rate at withdrawal</t>
        </is>
      </c>
      <c r="B8" s="23" t="n">
        <v>0.24</v>
      </c>
    </row>
    <row r="10">
      <c r="A10" s="5" t="inlineStr">
        <is>
          <t>Bucket</t>
        </is>
      </c>
      <c r="B10" s="5" t="inlineStr">
        <is>
          <t>Going in</t>
        </is>
      </c>
      <c r="C10" s="5" t="inlineStr">
        <is>
          <t>While it grows</t>
        </is>
      </c>
      <c r="D10" s="5" t="inlineStr">
        <is>
          <t>Coming out</t>
        </is>
      </c>
      <c r="E10" s="5" t="inlineStr">
        <is>
          <t>Ending value (after tax)</t>
        </is>
      </c>
    </row>
    <row r="11">
      <c r="A11" s="29" t="inlineStr">
        <is>
          <t>Taxable brokerage</t>
        </is>
      </c>
      <c r="B11" s="16" t="inlineStr">
        <is>
          <t>After-tax</t>
        </is>
      </c>
      <c r="C11" s="16" t="inlineStr">
        <is>
          <t>Taxed yearly</t>
        </is>
      </c>
      <c r="D11" s="16" t="inlineStr">
        <is>
          <t>Gains taxed</t>
        </is>
      </c>
      <c r="E11" s="30">
        <f>FV($B$6*(1-$B$7),$B$5,-$B$4,0,0)</f>
        <v/>
      </c>
    </row>
    <row r="12">
      <c r="A12" s="10" t="inlineStr">
        <is>
          <t>Tax-deferred (Traditional)</t>
        </is>
      </c>
      <c r="B12" s="2" t="inlineStr">
        <is>
          <t>Pre-tax*</t>
        </is>
      </c>
      <c r="C12" s="2" t="inlineStr">
        <is>
          <t>Tax-deferred</t>
        </is>
      </c>
      <c r="D12" s="2" t="inlineStr">
        <is>
          <t>Taxed as income</t>
        </is>
      </c>
      <c r="E12" s="18">
        <f>FV($B$6,$B$5,-$B$4,0,0)*(1-$B$8)</f>
        <v/>
      </c>
    </row>
    <row r="13">
      <c r="A13" s="10" t="inlineStr">
        <is>
          <t>Tax-free (Roth / policy)</t>
        </is>
      </c>
      <c r="B13" s="2" t="inlineStr">
        <is>
          <t>After-tax</t>
        </is>
      </c>
      <c r="C13" s="2" t="inlineStr">
        <is>
          <t>Tax-free</t>
        </is>
      </c>
      <c r="D13" s="2" t="inlineStr">
        <is>
          <t>Tax-free**</t>
        </is>
      </c>
      <c r="E13" s="19">
        <f>FV($B$6,$B$5,-$B$4,0,0)</f>
        <v/>
      </c>
    </row>
    <row r="15">
      <c r="A15" s="4" t="inlineStr">
        <is>
          <t>* Traditional contributions are pre-tax, so the comparison is rough; shown after-tax at withdrawal.</t>
        </is>
      </c>
    </row>
    <row r="16">
      <c r="A16" s="4" t="inlineStr">
        <is>
          <t>** The policy bucket has no IRS contribution limit (a Roth does) and is accessed tax-free via loans or withdrawals up to basis. Tax law can change.</t>
        </is>
      </c>
    </row>
    <row r="17">
      <c r="A17" s="4" t="inlineStr">
        <is>
          <t>The lesson is not the dollar amount. It is that the tax-free bucket keeps what the others give back.</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2026-06-26T22:52:44Z</dcterms:created>
  <dcterms:modified xmlns:dcterms="http://purl.org/dc/terms/" xmlns:xsi="http://www.w3.org/2001/XMLSchema-instance" xsi:type="dcterms:W3CDTF">2026-07-01T23:43:48Z</dcterms:modified>
</cp:coreProperties>
</file>